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UBI\Ensino\UnidadesCurriculares_Atuais\Estruturas Aeroespaciais II\2019-2020\"/>
    </mc:Choice>
  </mc:AlternateContent>
  <xr:revisionPtr revIDLastSave="0" documentId="13_ncr:1_{36F6E4D6-C104-4C95-A8C0-1EB6FD7544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Sheet1!$F$15:$F$16</definedName>
    <definedName name="solver_cvg" localSheetId="0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Sheet1!$F$15</definedName>
    <definedName name="solver_lhs2" localSheetId="0" hidden="1">Sheet1!$F$16</definedName>
    <definedName name="solver_lhs3" localSheetId="0" hidden="1">Sheet1!$F$20</definedName>
    <definedName name="solver_lhs4" localSheetId="0" hidden="1">Sheet1!$F$21</definedName>
    <definedName name="solver_lhs5" localSheetId="0" hidden="1">Sheet1!$F$22</definedName>
    <definedName name="solver_mip" localSheetId="0" hidden="1">2147483647</definedName>
    <definedName name="solver_mni" localSheetId="0" hidden="1">30</definedName>
    <definedName name="solver_mrt" localSheetId="0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Sheet1!$F$18</definedName>
    <definedName name="solver_pre" localSheetId="0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hs1" localSheetId="0" hidden="1">Sheet1!$J$15</definedName>
    <definedName name="solver_rhs2" localSheetId="0" hidden="1">Sheet1!$J$16</definedName>
    <definedName name="solver_rhs3" localSheetId="0" hidden="1">Sheet1!$J$20</definedName>
    <definedName name="solver_rhs4" localSheetId="0" hidden="1">Sheet1!$J$21</definedName>
    <definedName name="solver_rhs5" localSheetId="0" hidden="1">Sheet1!$J$22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31" i="1" l="1"/>
  <c r="F30" i="1"/>
  <c r="E31" i="1"/>
  <c r="F7" i="1"/>
  <c r="F6" i="1"/>
  <c r="B7" i="1"/>
  <c r="B8" i="1"/>
  <c r="F20" i="1"/>
  <c r="F21" i="1"/>
  <c r="F22" i="1"/>
  <c r="C29" i="1"/>
  <c r="D29" i="1"/>
  <c r="G29" i="1"/>
  <c r="H29" i="1"/>
  <c r="I29" i="1"/>
  <c r="J29" i="1"/>
  <c r="K29" i="1"/>
  <c r="L29" i="1"/>
  <c r="M29" i="1"/>
  <c r="Q29" i="1"/>
  <c r="R29" i="1"/>
  <c r="T29" i="1"/>
  <c r="U29" i="1"/>
  <c r="C30" i="1"/>
  <c r="D30" i="1"/>
  <c r="G30" i="1"/>
  <c r="H30" i="1"/>
  <c r="I30" i="1"/>
  <c r="J30" i="1"/>
  <c r="K30" i="1"/>
  <c r="L30" i="1"/>
  <c r="M30" i="1"/>
  <c r="Q30" i="1"/>
  <c r="R30" i="1"/>
  <c r="C31" i="1"/>
  <c r="D31" i="1"/>
  <c r="G31" i="1"/>
  <c r="H31" i="1"/>
  <c r="I31" i="1"/>
  <c r="J31" i="1"/>
  <c r="K31" i="1"/>
  <c r="L31" i="1"/>
  <c r="M31" i="1"/>
  <c r="Q31" i="1"/>
  <c r="R31" i="1"/>
  <c r="D33" i="1"/>
  <c r="E33" i="1"/>
  <c r="F33" i="1"/>
  <c r="G33" i="1"/>
  <c r="H33" i="1"/>
  <c r="K33" i="1"/>
  <c r="L33" i="1"/>
  <c r="M33" i="1"/>
  <c r="N33" i="1"/>
  <c r="O33" i="1"/>
  <c r="P33" i="1"/>
</calcChain>
</file>

<file path=xl/sharedStrings.xml><?xml version="1.0" encoding="utf-8"?>
<sst xmlns="http://schemas.openxmlformats.org/spreadsheetml/2006/main" count="98" uniqueCount="68">
  <si>
    <t>Geometria</t>
  </si>
  <si>
    <t>h</t>
  </si>
  <si>
    <t>c</t>
  </si>
  <si>
    <t>l</t>
  </si>
  <si>
    <t>mm</t>
  </si>
  <si>
    <t>Carregamento</t>
  </si>
  <si>
    <t>N</t>
  </si>
  <si>
    <t>Otimização</t>
  </si>
  <si>
    <t>t</t>
  </si>
  <si>
    <t>A</t>
  </si>
  <si>
    <t>mm^2</t>
  </si>
  <si>
    <t>m</t>
  </si>
  <si>
    <t>kg</t>
  </si>
  <si>
    <t>Materiais</t>
  </si>
  <si>
    <t>N/mm^2</t>
  </si>
  <si>
    <t>kg/m^3</t>
  </si>
  <si>
    <t>Nmm</t>
  </si>
  <si>
    <t>Análise</t>
  </si>
  <si>
    <t>"Boom"</t>
  </si>
  <si>
    <t>s_inicial</t>
  </si>
  <si>
    <t>S_x</t>
  </si>
  <si>
    <t>S_y</t>
  </si>
  <si>
    <t>M_x</t>
  </si>
  <si>
    <t>M_y</t>
  </si>
  <si>
    <t>E_L</t>
  </si>
  <si>
    <t>s_t,L</t>
  </si>
  <si>
    <t>s_c,L</t>
  </si>
  <si>
    <t>rho_L</t>
  </si>
  <si>
    <t>E_C</t>
  </si>
  <si>
    <t>s_t,C</t>
  </si>
  <si>
    <t>s_,cC</t>
  </si>
  <si>
    <t>rho_C</t>
  </si>
  <si>
    <t>t_min</t>
  </si>
  <si>
    <t>A_min</t>
  </si>
  <si>
    <t>s_ref</t>
  </si>
  <si>
    <t>EB</t>
  </si>
  <si>
    <t>x'</t>
  </si>
  <si>
    <t>y'</t>
  </si>
  <si>
    <t>EBx'</t>
  </si>
  <si>
    <t>EBy'</t>
  </si>
  <si>
    <t>Soma</t>
  </si>
  <si>
    <t>x_cg</t>
  </si>
  <si>
    <t>y_cg</t>
  </si>
  <si>
    <t>x</t>
  </si>
  <si>
    <t>y</t>
  </si>
  <si>
    <t>Nmm^2</t>
  </si>
  <si>
    <t>EI_xx</t>
  </si>
  <si>
    <t>EI_yy</t>
  </si>
  <si>
    <t>EI_xy</t>
  </si>
  <si>
    <t>EI^2</t>
  </si>
  <si>
    <t>N^2mm^4</t>
  </si>
  <si>
    <t>coef_x</t>
  </si>
  <si>
    <t>1/mm</t>
  </si>
  <si>
    <t>coef_y</t>
  </si>
  <si>
    <t>s_z</t>
  </si>
  <si>
    <t>y/x</t>
  </si>
  <si>
    <t>a</t>
  </si>
  <si>
    <t>deg</t>
  </si>
  <si>
    <t>MS</t>
  </si>
  <si>
    <t>v</t>
  </si>
  <si>
    <t>f</t>
  </si>
  <si>
    <t>g</t>
  </si>
  <si>
    <t>MS_1</t>
  </si>
  <si>
    <t>MS_2</t>
  </si>
  <si>
    <t>MS_3</t>
  </si>
  <si>
    <t>MS_1_min</t>
  </si>
  <si>
    <t>MS_2_min</t>
  </si>
  <si>
    <t>MS_3_min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</si>
</sst>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2" fontId="1" fillId="3" borderId="0" xfId="0" applyNumberFormat="1" applyFont="1" applyFill="1"/>
    <xf numFmtId="2" fontId="0" fillId="2" borderId="0" xfId="0" applyNumberFormat="1" applyFill="1"/>
    <xf numFmtId="2" fontId="0" fillId="4" borderId="0" xfId="0" applyNumberFormat="1" applyFill="1"/>
    <xf numFmtId="1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11" fontId="0" fillId="5" borderId="0" xfId="0" applyNumberFormat="1" applyFill="1"/>
    <xf numFmtId="0" fontId="0" fillId="5" borderId="0" xfId="0" applyFill="1"/>
    <xf numFmtId="2" fontId="1" fillId="2" borderId="0" xfId="0" applyNumberFormat="1" applyFont="1" applyFill="1"/>
    <xf numFmtId="164" fontId="0" fillId="0" borderId="0" xfId="0" applyNumberFormat="1"/>
    <xf numFmtId="1" fontId="0" fillId="2" borderId="0" xfId="0" applyNumberFormat="1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34"/>
  <sheetViews>
    <sheetView tabSelected="1" workbookViewId="0">
      <selection activeCell="H36" sqref="H36"/>
    </sheetView>
  </sheetViews>
  <sheetFormatPr defaultRowHeight="14.4" x14ac:dyDescent="0.3"/>
  <cols>
    <col min="4" max="4" width="8.88671875" customWidth="1"/>
    <col min="10" max="10" width="9.109375" customWidth="1"/>
    <col min="13" max="13" width="9.21875" bestFit="1" customWidth="1"/>
  </cols>
  <sheetData>
    <row r="2" spans="1:19" x14ac:dyDescent="0.3">
      <c r="A2" t="s">
        <v>0</v>
      </c>
      <c r="E2" t="s">
        <v>5</v>
      </c>
      <c r="I2" t="s">
        <v>13</v>
      </c>
    </row>
    <row r="4" spans="1:19" x14ac:dyDescent="0.3">
      <c r="A4" t="s">
        <v>2</v>
      </c>
      <c r="B4" s="3">
        <v>25</v>
      </c>
      <c r="C4" t="s">
        <v>4</v>
      </c>
      <c r="E4" t="s">
        <v>20</v>
      </c>
      <c r="F4" s="1">
        <v>180</v>
      </c>
      <c r="G4" t="s">
        <v>6</v>
      </c>
      <c r="I4" t="s">
        <v>24</v>
      </c>
      <c r="J4" s="12">
        <v>150000</v>
      </c>
      <c r="K4" t="s">
        <v>14</v>
      </c>
      <c r="S4" s="13"/>
    </row>
    <row r="5" spans="1:19" x14ac:dyDescent="0.3">
      <c r="A5" t="s">
        <v>1</v>
      </c>
      <c r="B5" s="3">
        <v>50</v>
      </c>
      <c r="C5" t="s">
        <v>4</v>
      </c>
      <c r="E5" t="s">
        <v>21</v>
      </c>
      <c r="F5" s="1">
        <v>600</v>
      </c>
      <c r="G5" t="s">
        <v>6</v>
      </c>
      <c r="I5" t="s">
        <v>25</v>
      </c>
      <c r="J5" s="12">
        <v>1500</v>
      </c>
      <c r="K5" t="s">
        <v>14</v>
      </c>
      <c r="S5" s="13"/>
    </row>
    <row r="6" spans="1:19" x14ac:dyDescent="0.3">
      <c r="A6" t="s">
        <v>3</v>
      </c>
      <c r="B6" s="3">
        <v>500</v>
      </c>
      <c r="C6" t="s">
        <v>4</v>
      </c>
      <c r="E6" t="s">
        <v>22</v>
      </c>
      <c r="F6">
        <f>-F5*B6</f>
        <v>-300000</v>
      </c>
      <c r="G6" t="s">
        <v>16</v>
      </c>
      <c r="I6" t="s">
        <v>26</v>
      </c>
      <c r="J6" s="12">
        <v>1200</v>
      </c>
      <c r="K6" t="s">
        <v>14</v>
      </c>
      <c r="S6" s="13"/>
    </row>
    <row r="7" spans="1:19" x14ac:dyDescent="0.3">
      <c r="A7" t="s">
        <v>41</v>
      </c>
      <c r="B7" s="7">
        <f ca="1">G33/D33</f>
        <v>6.0889114857451485</v>
      </c>
      <c r="C7" t="s">
        <v>4</v>
      </c>
      <c r="E7" t="s">
        <v>23</v>
      </c>
      <c r="F7">
        <f>-F4*B6</f>
        <v>-90000</v>
      </c>
      <c r="G7" t="s">
        <v>16</v>
      </c>
      <c r="I7" t="s">
        <v>27</v>
      </c>
      <c r="J7" s="1">
        <v>1600</v>
      </c>
      <c r="K7" t="s">
        <v>15</v>
      </c>
    </row>
    <row r="8" spans="1:19" x14ac:dyDescent="0.3">
      <c r="A8" t="s">
        <v>42</v>
      </c>
      <c r="B8" s="7">
        <f ca="1">H33/D33</f>
        <v>24.388344355255406</v>
      </c>
      <c r="C8" t="s">
        <v>4</v>
      </c>
      <c r="I8" t="s">
        <v>28</v>
      </c>
      <c r="J8" s="12">
        <v>74000</v>
      </c>
      <c r="K8" t="s">
        <v>14</v>
      </c>
      <c r="S8" s="13"/>
    </row>
    <row r="9" spans="1:19" x14ac:dyDescent="0.3">
      <c r="I9" t="s">
        <v>29</v>
      </c>
      <c r="J9" s="12">
        <v>300</v>
      </c>
      <c r="K9" t="s">
        <v>14</v>
      </c>
      <c r="S9" s="13"/>
    </row>
    <row r="10" spans="1:19" x14ac:dyDescent="0.3">
      <c r="I10" t="s">
        <v>30</v>
      </c>
      <c r="J10" s="12">
        <v>240</v>
      </c>
      <c r="K10" t="s">
        <v>14</v>
      </c>
      <c r="S10" s="13"/>
    </row>
    <row r="11" spans="1:19" x14ac:dyDescent="0.3">
      <c r="I11" t="s">
        <v>31</v>
      </c>
      <c r="J11" s="1">
        <v>2700</v>
      </c>
      <c r="K11" t="s">
        <v>15</v>
      </c>
    </row>
    <row r="13" spans="1:19" x14ac:dyDescent="0.3">
      <c r="A13" t="s">
        <v>7</v>
      </c>
    </row>
    <row r="15" spans="1:19" x14ac:dyDescent="0.3">
      <c r="A15" t="s">
        <v>59</v>
      </c>
      <c r="E15" t="s">
        <v>8</v>
      </c>
      <c r="F15" s="2">
        <v>2</v>
      </c>
      <c r="G15" t="s">
        <v>4</v>
      </c>
      <c r="I15" t="s">
        <v>32</v>
      </c>
      <c r="J15" s="3">
        <v>0.4</v>
      </c>
      <c r="K15" t="s">
        <v>4</v>
      </c>
    </row>
    <row r="16" spans="1:19" x14ac:dyDescent="0.3">
      <c r="E16" t="s">
        <v>9</v>
      </c>
      <c r="F16" s="2">
        <v>10</v>
      </c>
      <c r="G16" t="s">
        <v>10</v>
      </c>
      <c r="I16" t="s">
        <v>33</v>
      </c>
      <c r="J16" s="10">
        <v>2</v>
      </c>
      <c r="K16" t="s">
        <v>10</v>
      </c>
    </row>
    <row r="18" spans="1:21" x14ac:dyDescent="0.3">
      <c r="A18" t="s">
        <v>60</v>
      </c>
      <c r="E18" t="s">
        <v>11</v>
      </c>
      <c r="F18" s="11">
        <f>($J$7*F16*$B$6+$J$11*($B$5+$B$4)*F15*$B$6)*0.000000001</f>
        <v>0.21050000000000002</v>
      </c>
      <c r="G18" t="s">
        <v>12</v>
      </c>
    </row>
    <row r="20" spans="1:21" x14ac:dyDescent="0.3">
      <c r="A20" t="s">
        <v>61</v>
      </c>
      <c r="E20" t="s">
        <v>62</v>
      </c>
      <c r="F20" s="7">
        <f ca="1">R29</f>
        <v>4.7603000714455801</v>
      </c>
      <c r="I20" t="s">
        <v>65</v>
      </c>
      <c r="J20" s="3">
        <v>0.1</v>
      </c>
    </row>
    <row r="21" spans="1:21" x14ac:dyDescent="0.3">
      <c r="E21" t="s">
        <v>63</v>
      </c>
      <c r="F21" s="7">
        <f ca="1">R30</f>
        <v>1.2266973532796324</v>
      </c>
      <c r="I21" t="s">
        <v>66</v>
      </c>
      <c r="J21" s="3">
        <v>0.1</v>
      </c>
    </row>
    <row r="22" spans="1:21" x14ac:dyDescent="0.3">
      <c r="E22" t="s">
        <v>64</v>
      </c>
      <c r="F22" s="7">
        <f ca="1">R31</f>
        <v>0.480489671002295</v>
      </c>
      <c r="I22" t="s">
        <v>67</v>
      </c>
      <c r="J22" s="3">
        <v>0.1</v>
      </c>
    </row>
    <row r="24" spans="1:21" x14ac:dyDescent="0.3">
      <c r="A24" t="s">
        <v>17</v>
      </c>
      <c r="C24" s="1">
        <v>0</v>
      </c>
    </row>
    <row r="26" spans="1:21" x14ac:dyDescent="0.3">
      <c r="A26" s="6" t="s">
        <v>18</v>
      </c>
      <c r="B26" s="6" t="s">
        <v>34</v>
      </c>
      <c r="C26" s="6" t="s">
        <v>19</v>
      </c>
      <c r="D26" s="6" t="s">
        <v>35</v>
      </c>
      <c r="E26" s="6" t="s">
        <v>36</v>
      </c>
      <c r="F26" s="6" t="s">
        <v>37</v>
      </c>
      <c r="G26" s="6" t="s">
        <v>38</v>
      </c>
      <c r="H26" s="6" t="s">
        <v>39</v>
      </c>
      <c r="I26" s="6" t="s">
        <v>43</v>
      </c>
      <c r="J26" s="6" t="s">
        <v>44</v>
      </c>
      <c r="K26" s="6" t="s">
        <v>46</v>
      </c>
      <c r="L26" s="6" t="s">
        <v>47</v>
      </c>
      <c r="M26" s="6" t="s">
        <v>48</v>
      </c>
      <c r="N26" s="6" t="s">
        <v>49</v>
      </c>
      <c r="O26" s="6" t="s">
        <v>51</v>
      </c>
      <c r="P26" s="6" t="s">
        <v>53</v>
      </c>
      <c r="Q26" s="6" t="s">
        <v>54</v>
      </c>
      <c r="R26" s="6" t="s">
        <v>58</v>
      </c>
      <c r="T26" s="6" t="s">
        <v>55</v>
      </c>
      <c r="U26" s="6" t="s">
        <v>56</v>
      </c>
    </row>
    <row r="27" spans="1:21" x14ac:dyDescent="0.3">
      <c r="A27" s="6"/>
      <c r="B27" s="6" t="s">
        <v>14</v>
      </c>
      <c r="C27" s="6" t="s">
        <v>14</v>
      </c>
      <c r="D27" s="6" t="s">
        <v>6</v>
      </c>
      <c r="E27" s="6" t="s">
        <v>4</v>
      </c>
      <c r="F27" s="6" t="s">
        <v>4</v>
      </c>
      <c r="G27" s="6" t="s">
        <v>16</v>
      </c>
      <c r="H27" s="6" t="s">
        <v>16</v>
      </c>
      <c r="I27" s="6" t="s">
        <v>4</v>
      </c>
      <c r="J27" s="6" t="s">
        <v>4</v>
      </c>
      <c r="K27" s="6" t="s">
        <v>45</v>
      </c>
      <c r="L27" s="6" t="s">
        <v>45</v>
      </c>
      <c r="M27" s="6" t="s">
        <v>45</v>
      </c>
      <c r="N27" s="6" t="s">
        <v>50</v>
      </c>
      <c r="O27" s="6" t="s">
        <v>52</v>
      </c>
      <c r="P27" s="6" t="s">
        <v>52</v>
      </c>
      <c r="Q27" s="6" t="s">
        <v>14</v>
      </c>
      <c r="T27" s="6"/>
      <c r="U27" s="6" t="s">
        <v>57</v>
      </c>
    </row>
    <row r="29" spans="1:21" x14ac:dyDescent="0.3">
      <c r="A29">
        <v>1</v>
      </c>
      <c r="B29" s="3">
        <v>200</v>
      </c>
      <c r="C29" s="4">
        <f ca="1">IF($C$24=1,B29,IF(OR(ISERROR(C29),ISERROR(Q29)),B29,C29+0.5*(Q29-C29)))</f>
        <v>260.40310077519382</v>
      </c>
      <c r="D29" s="5">
        <f ca="1">$J$4*$F$16+$J$8*$F$15*$B$5/6*(2+C30/C29)</f>
        <v>3456180.0428673495</v>
      </c>
      <c r="E29" s="7">
        <v>0</v>
      </c>
      <c r="F29" s="7">
        <v>0</v>
      </c>
      <c r="G29" s="5">
        <f ca="1">D29*E29</f>
        <v>0</v>
      </c>
      <c r="H29" s="5">
        <f ca="1">D29*F29</f>
        <v>0</v>
      </c>
      <c r="I29" s="7">
        <f ca="1">E29-$B$7</f>
        <v>-6.0889114857451485</v>
      </c>
      <c r="J29" s="7">
        <f ca="1">F29-$B$8</f>
        <v>-24.388344355255406</v>
      </c>
      <c r="K29" s="5">
        <f ca="1">D29*J29^2</f>
        <v>2055705960.3280296</v>
      </c>
      <c r="L29" s="5">
        <f ca="1">D29*I29^2</f>
        <v>128137332.74981754</v>
      </c>
      <c r="M29" s="5">
        <f ca="1">D29*I29*J29</f>
        <v>513237448.62815291</v>
      </c>
      <c r="N29" s="8"/>
      <c r="O29" s="9"/>
      <c r="P29" s="9"/>
      <c r="Q29" s="4">
        <f ca="1">$J$4*($O$33*I29+$P$33*J29)</f>
        <v>260.40310077519388</v>
      </c>
      <c r="R29" s="7">
        <f ca="1">IF(Q29=0,10,IF(Q29&lt;0,$J$6/ABS(Q29)-1,$J$5/Q29-1))</f>
        <v>4.7603000714455801</v>
      </c>
      <c r="T29" s="11">
        <f ca="1">-O33/P33</f>
        <v>-0.45990206955931329</v>
      </c>
      <c r="U29" s="11">
        <f ca="1">DEGREES(ATAN(T29))</f>
        <v>-24.697798988457127</v>
      </c>
    </row>
    <row r="30" spans="1:21" x14ac:dyDescent="0.3">
      <c r="A30">
        <v>2</v>
      </c>
      <c r="B30" s="3">
        <v>-200</v>
      </c>
      <c r="C30" s="4">
        <f ca="1">IF($C$24=1,B30,IF(OR(ISERROR(C30),ISERROR(Q30)),B30,C30+0.5*(Q30-C30)))</f>
        <v>-107.78294573643409</v>
      </c>
      <c r="D30" s="5">
        <f ca="1">IF(ABS(C30)&lt;0.1,D29+D31,($J$8*$F$15*$B$5/6*(2+C29/C30)+$J$8*$F$15*$B$4/6*(2+C31/C30)))</f>
        <v>1647756.0414269273</v>
      </c>
      <c r="E30" s="7">
        <v>0</v>
      </c>
      <c r="F30" s="7">
        <f>B5</f>
        <v>50</v>
      </c>
      <c r="G30" s="5">
        <f t="shared" ref="G30:G31" ca="1" si="0">D30*E30</f>
        <v>0</v>
      </c>
      <c r="H30" s="5">
        <f t="shared" ref="H30:H31" ca="1" si="1">D30*F30</f>
        <v>82387802.071346372</v>
      </c>
      <c r="I30" s="7">
        <f t="shared" ref="I30:I31" ca="1" si="2">E30-$B$7</f>
        <v>-6.0889114857451485</v>
      </c>
      <c r="J30" s="7">
        <f t="shared" ref="J30:J31" ca="1" si="3">F30-$B$8</f>
        <v>25.611655644744594</v>
      </c>
      <c r="K30" s="5">
        <f t="shared" ref="K30:K31" ca="1" si="4">D30*J30^2</f>
        <v>1080856952.9069753</v>
      </c>
      <c r="L30" s="5">
        <f t="shared" ref="L30:L31" ca="1" si="5">D30*I30^2</f>
        <v>61090296.672067203</v>
      </c>
      <c r="M30" s="5">
        <f t="shared" ref="M30:M31" ca="1" si="6">D30*I30*J30</f>
        <v>-256962783.12851781</v>
      </c>
      <c r="N30" s="8"/>
      <c r="O30" s="9"/>
      <c r="P30" s="9"/>
      <c r="Q30" s="4">
        <f ca="1">$J$8*($O$33*I30+$P$33*J30)</f>
        <v>-107.7829457364341</v>
      </c>
      <c r="R30" s="7">
        <f ca="1">IF(Q30=0,10,IF(Q30&lt;0,$J$10/ABS(Q30)-1,$J$9/Q30-1))</f>
        <v>1.2266973532796319</v>
      </c>
    </row>
    <row r="31" spans="1:21" x14ac:dyDescent="0.3">
      <c r="A31">
        <v>3</v>
      </c>
      <c r="B31" s="3">
        <v>-200</v>
      </c>
      <c r="C31" s="4">
        <f ca="1">IF($C$24=1,B31,IF(OR(ISERROR(C31),ISERROR(Q31)),B31,C31+0.5*(Q31-C31)))</f>
        <v>-162.10852713178298</v>
      </c>
      <c r="D31" s="5">
        <f ca="1">IF(ABS(C31)&lt;0.1,D29+D30,$J$8*$F$15*$B$4/6*(2+C30/C31))</f>
        <v>1643343.5348125475</v>
      </c>
      <c r="E31" s="7">
        <f>B4</f>
        <v>25</v>
      </c>
      <c r="F31" s="7">
        <f>B5</f>
        <v>50</v>
      </c>
      <c r="G31" s="5">
        <f t="shared" ca="1" si="0"/>
        <v>41083588.370313689</v>
      </c>
      <c r="H31" s="5">
        <f t="shared" ca="1" si="1"/>
        <v>82167176.740627378</v>
      </c>
      <c r="I31" s="7">
        <f t="shared" ca="1" si="2"/>
        <v>18.91108851425485</v>
      </c>
      <c r="J31" s="7">
        <f t="shared" ca="1" si="3"/>
        <v>25.611655644744594</v>
      </c>
      <c r="K31" s="5">
        <f t="shared" ca="1" si="4"/>
        <v>1077962538.7255104</v>
      </c>
      <c r="L31" s="5">
        <f t="shared" ca="1" si="5"/>
        <v>587707746.73232853</v>
      </c>
      <c r="M31" s="5">
        <f t="shared" ca="1" si="6"/>
        <v>795944052.49127293</v>
      </c>
      <c r="N31" s="8"/>
      <c r="O31" s="9"/>
      <c r="P31" s="9"/>
      <c r="Q31" s="4">
        <f ca="1">$J$8*($O$33*I31+$P$33*J31)</f>
        <v>-162.10852713178298</v>
      </c>
      <c r="R31" s="7">
        <f ca="1">IF(Q31=0,10,IF(Q31&lt;0,$J$10/ABS(Q31)-1,$J$9/Q31-1))</f>
        <v>0.480489671002295</v>
      </c>
    </row>
    <row r="32" spans="1:21" x14ac:dyDescent="0.3">
      <c r="N32" s="5"/>
    </row>
    <row r="33" spans="1:16" x14ac:dyDescent="0.3">
      <c r="A33" t="s">
        <v>40</v>
      </c>
      <c r="D33" s="5">
        <f ca="1">SUM(D29:D31)</f>
        <v>6747279.6191068236</v>
      </c>
      <c r="E33" s="11">
        <f ca="1">G33/D33</f>
        <v>6.0889114857451485</v>
      </c>
      <c r="F33" s="7">
        <f ca="1">H33/D33</f>
        <v>24.388344355255406</v>
      </c>
      <c r="G33" s="5">
        <f ca="1">SUM(G29:G31)</f>
        <v>41083588.370313689</v>
      </c>
      <c r="H33" s="5">
        <f ca="1">SUM(H29:H31)</f>
        <v>164554978.81197375</v>
      </c>
      <c r="I33" s="5"/>
      <c r="J33" s="5"/>
      <c r="K33" s="5">
        <f ca="1">SUM(K29:K31)</f>
        <v>4214525451.960515</v>
      </c>
      <c r="L33" s="5">
        <f t="shared" ref="L33" ca="1" si="7">SUM(L29:L31)</f>
        <v>776935376.15421331</v>
      </c>
      <c r="M33" s="5">
        <f ca="1">SUM(M29:M31)</f>
        <v>1052218717.990908</v>
      </c>
      <c r="N33" s="5">
        <f ca="1">K33*L33-M33^2</f>
        <v>2.1672496868400184E+18</v>
      </c>
      <c r="O33" s="5">
        <f ca="1">($F$7*K33-$F$6*M33)/$N$33</f>
        <v>-2.9365179132621013E-5</v>
      </c>
      <c r="P33" s="5">
        <f ca="1">($F$6*L33-$F$7*M33)/$N$33</f>
        <v>-6.3850939311404435E-5</v>
      </c>
    </row>
    <row r="34" spans="1:16" x14ac:dyDescent="0.3">
      <c r="E34" s="6" t="s">
        <v>41</v>
      </c>
      <c r="F34" s="6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Vieira Gamboa</dc:creator>
  <cp:lastModifiedBy>Pedro Gamboa</cp:lastModifiedBy>
  <dcterms:created xsi:type="dcterms:W3CDTF">2020-03-27T17:32:34Z</dcterms:created>
  <dcterms:modified xsi:type="dcterms:W3CDTF">2022-11-16T22:58:57Z</dcterms:modified>
</cp:coreProperties>
</file>